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Diamond Dpt\2_Small-Diamonds\2_Authenticity-only\1_Tariff-Conditions_Authentication\"/>
    </mc:Choice>
  </mc:AlternateContent>
  <xr:revisionPtr revIDLastSave="0" documentId="13_ncr:1_{FC8358A7-CBCD-473C-A067-83BC12424C9E}" xr6:coauthVersionLast="47" xr6:coauthVersionMax="47" xr10:uidLastSave="{00000000-0000-0000-0000-000000000000}"/>
  <bookViews>
    <workbookView showHorizontalScroll="0" showVerticalScroll="0" xWindow="-93" yWindow="-93" windowWidth="24826" windowHeight="14586" tabRatio="500" xr2:uid="{00000000-000D-0000-FFFF-FFFF00000000}"/>
  </bookViews>
  <sheets>
    <sheet name="Tarif Naturalité" sheetId="1" r:id="rId1"/>
    <sheet name="Calcul Quantité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D9" i="1"/>
  <c r="F9" i="1"/>
  <c r="H9" i="1"/>
  <c r="Q9" i="1"/>
  <c r="U9" i="1"/>
  <c r="D10" i="1"/>
  <c r="F10" i="1"/>
  <c r="H10" i="1"/>
  <c r="D11" i="1"/>
  <c r="F11" i="1"/>
  <c r="H11" i="1"/>
  <c r="D12" i="1"/>
  <c r="F12" i="1"/>
  <c r="H12" i="1"/>
  <c r="D13" i="1"/>
  <c r="F13" i="1"/>
  <c r="H13" i="1"/>
  <c r="D14" i="1"/>
  <c r="F14" i="1"/>
  <c r="H14" i="1"/>
  <c r="D15" i="1"/>
  <c r="F15" i="1"/>
  <c r="H15" i="1"/>
  <c r="D16" i="1"/>
  <c r="F16" i="1"/>
  <c r="H16" i="1"/>
  <c r="D17" i="1"/>
  <c r="F17" i="1"/>
  <c r="H17" i="1"/>
  <c r="B7" i="6"/>
  <c r="B8" i="6"/>
  <c r="E14" i="6" l="1"/>
  <c r="F14" i="6" s="1"/>
  <c r="E6" i="6"/>
  <c r="F6" i="6" s="1"/>
  <c r="C57" i="1"/>
  <c r="O8" i="1"/>
  <c r="O9" i="1" s="1"/>
  <c r="H8" i="1"/>
  <c r="I17" i="1" s="1"/>
  <c r="C44" i="1"/>
  <c r="G44" i="1" s="1"/>
  <c r="C45" i="1"/>
  <c r="G45" i="1" s="1"/>
  <c r="C43" i="1"/>
  <c r="G43" i="1" s="1"/>
  <c r="C46" i="1"/>
  <c r="G46" i="1" s="1"/>
  <c r="C47" i="1"/>
  <c r="G47" i="1" s="1"/>
  <c r="C48" i="1"/>
  <c r="G48" i="1" s="1"/>
  <c r="C49" i="1"/>
  <c r="G49" i="1" s="1"/>
  <c r="C50" i="1"/>
  <c r="G50" i="1" s="1"/>
  <c r="C51" i="1"/>
  <c r="G51" i="1" s="1"/>
  <c r="C52" i="1"/>
  <c r="G52" i="1" s="1"/>
  <c r="C42" i="1"/>
  <c r="C58" i="1"/>
  <c r="C59" i="1"/>
  <c r="C66" i="1"/>
  <c r="C60" i="1"/>
  <c r="C61" i="1"/>
  <c r="C62" i="1"/>
  <c r="C63" i="1"/>
  <c r="C64" i="1"/>
  <c r="C65" i="1"/>
  <c r="U76" i="1"/>
  <c r="U75" i="1" s="1"/>
  <c r="U72" i="1" s="1"/>
  <c r="C25" i="1"/>
  <c r="C37" i="1" s="1"/>
  <c r="G54" i="1"/>
  <c r="P78" i="1"/>
  <c r="P77" i="1" s="1"/>
  <c r="P76" i="1" s="1"/>
  <c r="P75" i="1" s="1"/>
  <c r="O78" i="1"/>
  <c r="O77" i="1" s="1"/>
  <c r="O76" i="1" s="1"/>
  <c r="O75" i="1" s="1"/>
  <c r="N66" i="1"/>
  <c r="N65" i="1"/>
  <c r="F34" i="1"/>
  <c r="F32" i="1"/>
  <c r="U13" i="1" l="1"/>
  <c r="U14" i="1" s="1"/>
  <c r="F39" i="1" s="1"/>
  <c r="C36" i="1"/>
  <c r="H36" i="1" s="1"/>
  <c r="F42" i="1"/>
  <c r="C67" i="1"/>
  <c r="C40" i="1" s="1"/>
  <c r="C39" i="1" s="1"/>
  <c r="C41" i="1"/>
  <c r="F41" i="1" s="1"/>
  <c r="F8" i="1" s="1"/>
  <c r="C38" i="1"/>
  <c r="F54" i="1"/>
  <c r="C33" i="1"/>
  <c r="C53" i="1"/>
  <c r="F40" i="1" l="1"/>
  <c r="C28" i="1"/>
  <c r="C54" i="1"/>
  <c r="C29" i="1" s="1"/>
  <c r="F33" i="1"/>
  <c r="C35" i="1"/>
  <c r="G17" i="1" l="1"/>
  <c r="F35" i="1"/>
  <c r="V6" i="1" s="1"/>
  <c r="C55" i="1"/>
  <c r="C27" i="1" s="1"/>
  <c r="C30" i="1"/>
  <c r="D8" i="1" l="1"/>
  <c r="D20" i="1" s="1"/>
</calcChain>
</file>

<file path=xl/sharedStrings.xml><?xml version="1.0" encoding="utf-8"?>
<sst xmlns="http://schemas.openxmlformats.org/spreadsheetml/2006/main" count="118" uniqueCount="111">
  <si>
    <t>Tarif ASDI par heure</t>
  </si>
  <si>
    <t>Utilisation machine ASDI</t>
  </si>
  <si>
    <t>Coût nettoyage machine MEG</t>
  </si>
  <si>
    <t>Nombre de lots dans l'envoi :</t>
  </si>
  <si>
    <t>Prix machine + op.</t>
  </si>
  <si>
    <t>temps machine ASDI</t>
  </si>
  <si>
    <t>Cadence (pierres/h.)</t>
  </si>
  <si>
    <t>jours/an</t>
  </si>
  <si>
    <t>Prix machine MEG</t>
  </si>
  <si>
    <t>Tarif horaire ASDI</t>
  </si>
  <si>
    <t>heures/jour</t>
  </si>
  <si>
    <t>Taux de change (10/2013)</t>
  </si>
  <si>
    <t>Grandeur lot 2 :</t>
  </si>
  <si>
    <t>Délai brut</t>
  </si>
  <si>
    <t>Tarif / pierre</t>
  </si>
  <si>
    <t>heures/an</t>
  </si>
  <si>
    <t>Grandeur lot 3 :</t>
  </si>
  <si>
    <t>dont temps machine ASDI</t>
  </si>
  <si>
    <t>Amortissement (année)</t>
  </si>
  <si>
    <t>Grandeur lot 4 :</t>
  </si>
  <si>
    <t>dont temps opérateurs</t>
  </si>
  <si>
    <t>Prix de revient machine ASDI</t>
  </si>
  <si>
    <t>Opérateur ASDI &amp; secrétariat</t>
  </si>
  <si>
    <t>Produit</t>
  </si>
  <si>
    <t>Grandeur lot 5 :</t>
  </si>
  <si>
    <t>dont temps administratif</t>
  </si>
  <si>
    <t>OPTEC</t>
  </si>
  <si>
    <t>Surveillance (% temps ASDI)</t>
  </si>
  <si>
    <t>Temps opérateur/lot (heure)</t>
  </si>
  <si>
    <t>Grandeur lot 6 :</t>
  </si>
  <si>
    <t>Steinacher</t>
  </si>
  <si>
    <t>Tarif horaire op. &amp; admin</t>
  </si>
  <si>
    <t>Quantité de lot / an</t>
  </si>
  <si>
    <t>Grandeur lot 7 :</t>
  </si>
  <si>
    <t>Coût nettoyage / lot</t>
  </si>
  <si>
    <t>Grandeur lot 8 :</t>
  </si>
  <si>
    <t>Grandeur lot 9 :</t>
  </si>
  <si>
    <t>Total</t>
  </si>
  <si>
    <t>Grandeur lot 10 :</t>
  </si>
  <si>
    <t>Temps entrée 1 envoi</t>
  </si>
  <si>
    <t>Temps enregistrement des lots</t>
  </si>
  <si>
    <t>Temps secrétariat sortie par envoi</t>
  </si>
  <si>
    <t>Total temps administratif</t>
  </si>
  <si>
    <t>Prix analyse ASDI</t>
  </si>
  <si>
    <t>Total temps machine ASDI</t>
  </si>
  <si>
    <t>Temps contrôles entrée</t>
  </si>
  <si>
    <t>Temps contrôles sortie</t>
  </si>
  <si>
    <t>Total temps nettoyage</t>
  </si>
  <si>
    <t>Nombre de bains nettoyage</t>
  </si>
  <si>
    <t>Total temps charges bols</t>
  </si>
  <si>
    <t>Temps surveillance (% temps ASDI)</t>
  </si>
  <si>
    <t>Nombre de bol(s) lot 1</t>
  </si>
  <si>
    <t>Nombre de bol(s) lot 2</t>
  </si>
  <si>
    <t>Nombre de bol(s) lot 3</t>
  </si>
  <si>
    <t>Nombre de bol(s) lot 4</t>
  </si>
  <si>
    <t>Nombre de bol(s) lot 5</t>
  </si>
  <si>
    <t>Nombre de bol(s) lot 6</t>
  </si>
  <si>
    <t>Nombre de bol(s) lot 7</t>
  </si>
  <si>
    <t>Nombre de bol(s) lot 8</t>
  </si>
  <si>
    <t>Nombre de bol(s) lot 9</t>
  </si>
  <si>
    <t>Nombre de bol(s) lot 10</t>
  </si>
  <si>
    <t>Emission rapport Excel</t>
  </si>
  <si>
    <t>Total temps opérateurs</t>
  </si>
  <si>
    <t>Total temps de l'envoi</t>
  </si>
  <si>
    <t>Calcul quantité bains</t>
  </si>
  <si>
    <t>Qté paniers</t>
  </si>
  <si>
    <t>lot1</t>
  </si>
  <si>
    <t>lot2</t>
  </si>
  <si>
    <t>lot3</t>
  </si>
  <si>
    <t>lot4</t>
  </si>
  <si>
    <t>lot5</t>
  </si>
  <si>
    <t>lot6</t>
  </si>
  <si>
    <t>lot7</t>
  </si>
  <si>
    <t>Notes (temps Excel)</t>
  </si>
  <si>
    <t>lot8</t>
  </si>
  <si>
    <t>h</t>
  </si>
  <si>
    <t>lot9</t>
  </si>
  <si>
    <t>mn</t>
  </si>
  <si>
    <t>lot10</t>
  </si>
  <si>
    <t>s</t>
  </si>
  <si>
    <t>Total paniers</t>
  </si>
  <si>
    <t>Capacité SSEF avec 1 machine</t>
  </si>
  <si>
    <t>Capacité machine (cadence 2 500 pierres / h)</t>
  </si>
  <si>
    <t>Capacité en lots de 1500 pierres</t>
  </si>
  <si>
    <t>moyenne (6h/j)</t>
  </si>
  <si>
    <t>maxi (10h/j)</t>
  </si>
  <si>
    <t>Quantité de lot par an</t>
  </si>
  <si>
    <t>Capacité par an</t>
  </si>
  <si>
    <t>Quantité de lot par mois</t>
  </si>
  <si>
    <t>Capacité par mois</t>
  </si>
  <si>
    <t>Quantité de lot par semaine</t>
  </si>
  <si>
    <t>Capacité par semaine</t>
  </si>
  <si>
    <t>Quantité de lot par jour</t>
  </si>
  <si>
    <t>Capacité par jour</t>
  </si>
  <si>
    <t>Prix total pour l'envoi :</t>
  </si>
  <si>
    <t>Prix par pierre :</t>
  </si>
  <si>
    <t>Poids par diamant (ct)</t>
  </si>
  <si>
    <t>nb de pierres/panier:</t>
  </si>
  <si>
    <t>Poids du lot
(ct)</t>
  </si>
  <si>
    <t>Diamètre 1
(mm)</t>
  </si>
  <si>
    <t>Diamètre 2
(mm)</t>
  </si>
  <si>
    <t>Quantité
pleine taille</t>
  </si>
  <si>
    <t>Quantité
8/8</t>
  </si>
  <si>
    <t>Tarif applicable dès septembre 2023</t>
  </si>
  <si>
    <t>Tarif SSEF pour un
Rapport pdf  Naturalité lot de mêlés incolores</t>
  </si>
  <si>
    <r>
      <t xml:space="preserve">Estimation de la </t>
    </r>
    <r>
      <rPr>
        <b/>
        <sz val="12"/>
        <color rgb="FFFF0000"/>
        <rFont val="Calibri"/>
        <family val="2"/>
        <scheme val="minor"/>
      </rPr>
      <t>quantité</t>
    </r>
    <r>
      <rPr>
        <b/>
        <sz val="12"/>
        <color theme="1"/>
        <rFont val="Calibri"/>
        <family val="2"/>
        <scheme val="minor"/>
      </rPr>
      <t xml:space="preserve"> de "pleine taille" 
à partir du poids total du lot et 
du ou des diamètre(s)</t>
    </r>
  </si>
  <si>
    <r>
      <t>Estimation de la quantité de "</t>
    </r>
    <r>
      <rPr>
        <b/>
        <sz val="12"/>
        <color rgb="FFFF0000"/>
        <rFont val="Calibri"/>
        <family val="2"/>
        <scheme val="minor"/>
      </rPr>
      <t>8-8"</t>
    </r>
    <r>
      <rPr>
        <b/>
        <sz val="12"/>
        <color theme="1"/>
        <rFont val="Calibri"/>
        <family val="2"/>
        <scheme val="minor"/>
      </rPr>
      <t xml:space="preserve"> 
à partir du poids total du lot et 
du ou des diamètre(s)</t>
    </r>
  </si>
  <si>
    <t>Les diamants naturels et les"refer" sont séparés et retournés sous scellé.</t>
  </si>
  <si>
    <t>Quantité</t>
  </si>
  <si>
    <t>Prix (CHF)</t>
  </si>
  <si>
    <t>Cliquer ici pour voir nos conditions d'analyses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</si>
</sst>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\ &quot;€&quot;;\-#,##0\ &quot;€&quot;"/>
    <numFmt numFmtId="165" formatCode="_-* #,##0.00\ &quot;€&quot;_-;\-* #,##0.00\ &quot;€&quot;_-;_-* &quot;-&quot;??\ &quot;€&quot;_-;_-@_-"/>
    <numFmt numFmtId="166" formatCode="[$CHF-100C]\ #,##0"/>
    <numFmt numFmtId="167" formatCode="\(d\):hh:mm"/>
    <numFmt numFmtId="168" formatCode="[$CHF-100C]\ #,##0.00"/>
    <numFmt numFmtId="169" formatCode="#,##0.000"/>
    <numFmt numFmtId="170" formatCode="[$CHF-100C]\ #,##0.0000"/>
    <numFmt numFmtId="171" formatCode="dd:hh:mm:ss"/>
    <numFmt numFmtId="172" formatCode="[$CHF-100C]\ #,##0.000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57">
    <xf numFmtId="0" fontId="0" fillId="0" borderId="0" xfId="0"/>
    <xf numFmtId="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/>
    <xf numFmtId="16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166" fontId="7" fillId="0" borderId="7" xfId="0" applyNumberFormat="1" applyFont="1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9" xfId="0" applyBorder="1"/>
    <xf numFmtId="164" fontId="0" fillId="0" borderId="9" xfId="1" applyNumberFormat="1" applyFont="1" applyBorder="1" applyAlignment="1" applyProtection="1">
      <alignment horizontal="left"/>
    </xf>
    <xf numFmtId="0" fontId="0" fillId="0" borderId="10" xfId="0" applyBorder="1" applyAlignment="1">
      <alignment horizontal="right"/>
    </xf>
    <xf numFmtId="166" fontId="5" fillId="0" borderId="0" xfId="0" applyNumberFormat="1" applyFont="1" applyAlignment="1">
      <alignment horizontal="left"/>
    </xf>
    <xf numFmtId="167" fontId="0" fillId="0" borderId="1" xfId="0" applyNumberFormat="1" applyBorder="1" applyAlignment="1">
      <alignment horizontal="left"/>
    </xf>
    <xf numFmtId="21" fontId="0" fillId="0" borderId="0" xfId="0" applyNumberFormat="1" applyAlignment="1">
      <alignment horizontal="left"/>
    </xf>
    <xf numFmtId="169" fontId="0" fillId="0" borderId="8" xfId="0" applyNumberFormat="1" applyBorder="1" applyAlignment="1">
      <alignment horizontal="right"/>
    </xf>
    <xf numFmtId="166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170" fontId="0" fillId="0" borderId="12" xfId="0" applyNumberFormat="1" applyBorder="1" applyAlignment="1">
      <alignment horizontal="center"/>
    </xf>
    <xf numFmtId="0" fontId="4" fillId="0" borderId="11" xfId="0" applyFont="1" applyBorder="1"/>
    <xf numFmtId="0" fontId="0" fillId="0" borderId="12" xfId="0" applyBorder="1"/>
    <xf numFmtId="166" fontId="0" fillId="0" borderId="9" xfId="0" applyNumberFormat="1" applyBorder="1" applyAlignment="1">
      <alignment horizontal="left"/>
    </xf>
    <xf numFmtId="167" fontId="0" fillId="0" borderId="9" xfId="0" applyNumberFormat="1" applyBorder="1" applyAlignment="1">
      <alignment horizontal="left"/>
    </xf>
    <xf numFmtId="0" fontId="6" fillId="0" borderId="8" xfId="0" applyFont="1" applyBorder="1" applyAlignment="1">
      <alignment horizontal="right"/>
    </xf>
    <xf numFmtId="167" fontId="0" fillId="0" borderId="12" xfId="0" applyNumberFormat="1" applyBorder="1" applyAlignment="1">
      <alignment horizontal="left"/>
    </xf>
    <xf numFmtId="9" fontId="0" fillId="0" borderId="9" xfId="0" applyNumberFormat="1" applyBorder="1" applyAlignment="1">
      <alignment horizontal="left"/>
    </xf>
    <xf numFmtId="167" fontId="0" fillId="0" borderId="0" xfId="0" applyNumberFormat="1"/>
    <xf numFmtId="166" fontId="0" fillId="0" borderId="12" xfId="0" applyNumberFormat="1" applyBorder="1" applyAlignment="1">
      <alignment horizontal="left"/>
    </xf>
    <xf numFmtId="166" fontId="4" fillId="0" borderId="9" xfId="0" applyNumberFormat="1" applyFont="1" applyBorder="1" applyAlignment="1">
      <alignment horizontal="left"/>
    </xf>
    <xf numFmtId="0" fontId="0" fillId="0" borderId="8" xfId="0" applyBorder="1"/>
    <xf numFmtId="21" fontId="0" fillId="0" borderId="12" xfId="0" applyNumberForma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5" fillId="0" borderId="2" xfId="0" applyFont="1" applyBorder="1"/>
    <xf numFmtId="166" fontId="5" fillId="0" borderId="10" xfId="0" applyNumberFormat="1" applyFont="1" applyBorder="1" applyAlignment="1">
      <alignment horizontal="left"/>
    </xf>
    <xf numFmtId="167" fontId="5" fillId="0" borderId="10" xfId="0" applyNumberFormat="1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21" fontId="0" fillId="0" borderId="1" xfId="0" applyNumberFormat="1" applyBorder="1" applyAlignment="1">
      <alignment horizontal="left"/>
    </xf>
    <xf numFmtId="21" fontId="0" fillId="0" borderId="8" xfId="0" applyNumberFormat="1" applyBorder="1" applyAlignment="1">
      <alignment horizontal="left"/>
    </xf>
    <xf numFmtId="166" fontId="0" fillId="0" borderId="8" xfId="0" applyNumberFormat="1" applyBorder="1"/>
    <xf numFmtId="0" fontId="5" fillId="0" borderId="0" xfId="0" applyFont="1" applyAlignment="1">
      <alignment horizontal="right"/>
    </xf>
    <xf numFmtId="21" fontId="0" fillId="0" borderId="0" xfId="0" applyNumberFormat="1" applyAlignment="1">
      <alignment horizontal="right"/>
    </xf>
    <xf numFmtId="21" fontId="0" fillId="0" borderId="0" xfId="0" applyNumberFormat="1"/>
    <xf numFmtId="166" fontId="5" fillId="0" borderId="8" xfId="0" applyNumberFormat="1" applyFont="1" applyBorder="1" applyAlignment="1">
      <alignment horizontal="left"/>
    </xf>
    <xf numFmtId="0" fontId="0" fillId="0" borderId="2" xfId="0" applyBorder="1"/>
    <xf numFmtId="171" fontId="0" fillId="0" borderId="1" xfId="0" applyNumberFormat="1" applyBorder="1" applyAlignment="1">
      <alignment horizontal="left"/>
    </xf>
    <xf numFmtId="171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right"/>
    </xf>
    <xf numFmtId="21" fontId="0" fillId="0" borderId="2" xfId="0" applyNumberFormat="1" applyBorder="1" applyAlignment="1">
      <alignment horizontal="left"/>
    </xf>
    <xf numFmtId="9" fontId="0" fillId="0" borderId="1" xfId="0" applyNumberFormat="1" applyBorder="1" applyAlignment="1">
      <alignment horizontal="left"/>
    </xf>
    <xf numFmtId="0" fontId="0" fillId="0" borderId="1" xfId="0" applyBorder="1"/>
    <xf numFmtId="0" fontId="5" fillId="0" borderId="13" xfId="0" applyFont="1" applyBorder="1" applyAlignment="1">
      <alignment horizontal="right"/>
    </xf>
    <xf numFmtId="171" fontId="5" fillId="0" borderId="1" xfId="0" applyNumberFormat="1" applyFont="1" applyBorder="1" applyAlignment="1">
      <alignment horizontal="left"/>
    </xf>
    <xf numFmtId="171" fontId="5" fillId="0" borderId="0" xfId="0" applyNumberFormat="1" applyFont="1" applyAlignment="1">
      <alignment horizontal="left"/>
    </xf>
    <xf numFmtId="0" fontId="0" fillId="0" borderId="10" xfId="0" applyBorder="1"/>
    <xf numFmtId="46" fontId="0" fillId="0" borderId="0" xfId="0" applyNumberFormat="1"/>
    <xf numFmtId="0" fontId="0" fillId="0" borderId="20" xfId="0" applyBorder="1"/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right"/>
    </xf>
    <xf numFmtId="3" fontId="0" fillId="0" borderId="1" xfId="0" applyNumberForma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right"/>
    </xf>
    <xf numFmtId="3" fontId="0" fillId="0" borderId="25" xfId="0" applyNumberFormat="1" applyBorder="1" applyAlignment="1">
      <alignment horizontal="left"/>
    </xf>
    <xf numFmtId="0" fontId="0" fillId="0" borderId="26" xfId="0" applyBorder="1"/>
    <xf numFmtId="0" fontId="0" fillId="0" borderId="27" xfId="0" applyBorder="1"/>
    <xf numFmtId="0" fontId="0" fillId="0" borderId="0" xfId="0" applyAlignment="1">
      <alignment horizontal="center"/>
    </xf>
    <xf numFmtId="166" fontId="0" fillId="0" borderId="0" xfId="0" applyNumberFormat="1"/>
    <xf numFmtId="167" fontId="0" fillId="0" borderId="0" xfId="0" applyNumberFormat="1" applyAlignment="1">
      <alignment horizontal="left"/>
    </xf>
    <xf numFmtId="167" fontId="5" fillId="0" borderId="0" xfId="0" applyNumberFormat="1" applyFont="1" applyAlignment="1">
      <alignment horizontal="left"/>
    </xf>
    <xf numFmtId="166" fontId="0" fillId="0" borderId="0" xfId="0" applyNumberFormat="1" applyAlignment="1">
      <alignment horizontal="center"/>
    </xf>
    <xf numFmtId="0" fontId="9" fillId="0" borderId="6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167" fontId="5" fillId="0" borderId="7" xfId="0" applyNumberFormat="1" applyFont="1" applyBorder="1" applyAlignment="1">
      <alignment horizontal="left"/>
    </xf>
    <xf numFmtId="0" fontId="0" fillId="0" borderId="13" xfId="0" applyBorder="1" applyAlignment="1">
      <alignment horizontal="right"/>
    </xf>
    <xf numFmtId="0" fontId="6" fillId="0" borderId="28" xfId="0" applyFont="1" applyBorder="1" applyAlignment="1">
      <alignment horizontal="left"/>
    </xf>
    <xf numFmtId="3" fontId="7" fillId="0" borderId="6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 horizontal="left"/>
    </xf>
    <xf numFmtId="0" fontId="4" fillId="0" borderId="0" xfId="0" applyFont="1"/>
    <xf numFmtId="166" fontId="7" fillId="0" borderId="0" xfId="0" applyNumberFormat="1" applyFont="1" applyAlignment="1">
      <alignment horizontal="left"/>
    </xf>
    <xf numFmtId="1" fontId="0" fillId="0" borderId="0" xfId="0" applyNumberFormat="1"/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0" fillId="0" borderId="37" xfId="0" applyBorder="1" applyAlignment="1" applyProtection="1">
      <alignment horizontal="center"/>
      <protection locked="0"/>
    </xf>
    <xf numFmtId="3" fontId="4" fillId="0" borderId="38" xfId="0" applyNumberFormat="1" applyFont="1" applyBorder="1" applyAlignment="1">
      <alignment horizontal="center"/>
    </xf>
    <xf numFmtId="2" fontId="0" fillId="3" borderId="25" xfId="0" applyNumberFormat="1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39" xfId="0" applyBorder="1" applyAlignment="1">
      <alignment horizontal="right"/>
    </xf>
    <xf numFmtId="168" fontId="0" fillId="0" borderId="0" xfId="0" applyNumberFormat="1" applyAlignment="1">
      <alignment horizontal="left"/>
    </xf>
    <xf numFmtId="0" fontId="10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6" fontId="15" fillId="0" borderId="7" xfId="0" applyNumberFormat="1" applyFont="1" applyBorder="1" applyAlignment="1">
      <alignment horizontal="center"/>
    </xf>
    <xf numFmtId="166" fontId="1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12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168" fontId="15" fillId="0" borderId="0" xfId="0" applyNumberFormat="1" applyFont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3" fillId="0" borderId="0" xfId="0" applyFont="1"/>
    <xf numFmtId="0" fontId="16" fillId="0" borderId="0" xfId="0" applyFont="1"/>
    <xf numFmtId="0" fontId="4" fillId="0" borderId="9" xfId="0" applyFont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0" fontId="4" fillId="0" borderId="9" xfId="1" applyNumberFormat="1" applyFont="1" applyBorder="1" applyAlignment="1" applyProtection="1">
      <alignment horizontal="left"/>
    </xf>
    <xf numFmtId="0" fontId="4" fillId="0" borderId="12" xfId="0" applyFont="1" applyBorder="1" applyAlignment="1">
      <alignment horizontal="left"/>
    </xf>
    <xf numFmtId="3" fontId="4" fillId="0" borderId="0" xfId="0" applyNumberFormat="1" applyFont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" fontId="14" fillId="2" borderId="40" xfId="0" applyNumberFormat="1" applyFont="1" applyFill="1" applyBorder="1" applyAlignment="1" applyProtection="1">
      <alignment horizontal="center"/>
      <protection locked="0"/>
    </xf>
    <xf numFmtId="1" fontId="12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2" applyAlignment="1" applyProtection="1">
      <alignment horizontal="center"/>
      <protection locked="0"/>
    </xf>
    <xf numFmtId="3" fontId="0" fillId="0" borderId="25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0" fillId="0" borderId="0" xfId="0" applyBorder="1"/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172" fontId="2" fillId="0" borderId="12" xfId="0" applyNumberFormat="1" applyFont="1" applyBorder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sef.ch/wp-content/uploads/2023/09/Naturalite-Diamants-Conditions-Tarif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AK1521"/>
  <sheetViews>
    <sheetView showGridLines="0" tabSelected="1" zoomScale="80" zoomScaleNormal="80" workbookViewId="0">
      <selection activeCell="AC78" sqref="AC78"/>
    </sheetView>
  </sheetViews>
  <sheetFormatPr defaultColWidth="10.88671875" defaultRowHeight="15.7" x14ac:dyDescent="0.55000000000000004"/>
  <cols>
    <col min="1" max="1" width="3" customWidth="1"/>
    <col min="2" max="2" width="9.21875" customWidth="1"/>
    <col min="3" max="3" width="17.71875" customWidth="1"/>
    <col min="4" max="4" width="24.21875" customWidth="1"/>
    <col min="5" max="5" width="9.38671875" hidden="1" customWidth="1"/>
    <col min="6" max="6" width="16.609375" hidden="1" customWidth="1"/>
    <col min="7" max="7" width="11.38671875" hidden="1" customWidth="1"/>
    <col min="8" max="8" width="21.5" hidden="1" customWidth="1"/>
    <col min="9" max="9" width="15.109375" hidden="1" customWidth="1"/>
    <col min="10" max="10" width="1.88671875" hidden="1" customWidth="1"/>
    <col min="11" max="11" width="22.609375" hidden="1" customWidth="1"/>
    <col min="12" max="12" width="10.609375" hidden="1" customWidth="1"/>
    <col min="13" max="13" width="2" hidden="1" customWidth="1"/>
    <col min="14" max="14" width="20.38671875" hidden="1" customWidth="1"/>
    <col min="15" max="15" width="14.38671875" hidden="1" customWidth="1"/>
    <col min="16" max="16" width="1.5" hidden="1" customWidth="1"/>
    <col min="17" max="17" width="23.88671875" hidden="1" customWidth="1"/>
    <col min="18" max="18" width="10.609375" hidden="1" customWidth="1"/>
    <col min="19" max="19" width="1.38671875" hidden="1" customWidth="1"/>
    <col min="20" max="20" width="24.88671875" hidden="1" customWidth="1"/>
    <col min="21" max="21" width="11" hidden="1" customWidth="1"/>
    <col min="22" max="22" width="10.88671875" hidden="1" customWidth="1"/>
    <col min="23" max="27" width="10.88671875" customWidth="1"/>
  </cols>
  <sheetData>
    <row r="1" spans="1:22" x14ac:dyDescent="0.55000000000000004">
      <c r="G1" s="1"/>
    </row>
    <row r="2" spans="1:22" ht="54.95" customHeight="1" x14ac:dyDescent="0.55000000000000004">
      <c r="B2" s="120" t="s">
        <v>104</v>
      </c>
      <c r="C2" s="120"/>
      <c r="D2" s="120"/>
      <c r="E2" s="120"/>
      <c r="G2" s="1"/>
    </row>
    <row r="3" spans="1:22" ht="6" customHeight="1" x14ac:dyDescent="0.6">
      <c r="B3" s="93"/>
      <c r="C3" s="93"/>
      <c r="D3" s="93"/>
      <c r="E3" s="93"/>
      <c r="G3" s="1"/>
    </row>
    <row r="4" spans="1:22" ht="12.75" customHeight="1" x14ac:dyDescent="0.55000000000000004">
      <c r="B4" s="121" t="s">
        <v>103</v>
      </c>
      <c r="C4" s="121"/>
      <c r="D4" s="121"/>
      <c r="E4" s="121"/>
      <c r="G4" s="2"/>
      <c r="H4" s="3"/>
      <c r="I4" s="3"/>
    </row>
    <row r="5" spans="1:22" ht="8.1" customHeight="1" thickBot="1" x14ac:dyDescent="0.6">
      <c r="G5" s="4"/>
      <c r="H5" s="2"/>
      <c r="I5" s="5"/>
      <c r="N5" s="123" t="s">
        <v>0</v>
      </c>
      <c r="O5" s="124"/>
      <c r="Q5" s="123" t="s">
        <v>1</v>
      </c>
      <c r="R5" s="124"/>
      <c r="T5" s="123" t="s">
        <v>2</v>
      </c>
      <c r="U5" s="124"/>
    </row>
    <row r="6" spans="1:22" ht="4.3499999999999996" customHeight="1" thickTop="1" x14ac:dyDescent="0.55000000000000004">
      <c r="A6" s="151"/>
      <c r="B6" s="152"/>
      <c r="C6" s="153"/>
      <c r="D6" s="154"/>
      <c r="E6" s="98"/>
      <c r="F6" s="3" t="s">
        <v>4</v>
      </c>
      <c r="H6" s="6" t="s">
        <v>5</v>
      </c>
      <c r="N6" s="8" t="s">
        <v>6</v>
      </c>
      <c r="O6" s="106">
        <v>2000</v>
      </c>
      <c r="Q6" s="31">
        <v>200</v>
      </c>
      <c r="R6" s="9" t="s">
        <v>7</v>
      </c>
      <c r="T6" s="8" t="s">
        <v>8</v>
      </c>
      <c r="U6" s="10">
        <v>15000</v>
      </c>
      <c r="V6" s="7">
        <f>ROUNDUP(F8+F40+F35+F54,-1)</f>
        <v>730</v>
      </c>
    </row>
    <row r="7" spans="1:22" ht="18.350000000000001" thickBot="1" x14ac:dyDescent="0.65">
      <c r="B7" s="6"/>
      <c r="C7" s="95" t="s">
        <v>108</v>
      </c>
      <c r="D7" s="103" t="s">
        <v>109</v>
      </c>
      <c r="E7" s="99"/>
      <c r="F7" s="3"/>
      <c r="H7" s="6"/>
      <c r="N7" s="8"/>
      <c r="O7" s="106"/>
      <c r="Q7" s="31"/>
      <c r="R7" s="9"/>
      <c r="T7" s="8"/>
      <c r="U7" s="10"/>
      <c r="V7" s="80"/>
    </row>
    <row r="8" spans="1:22" ht="18.350000000000001" thickTop="1" x14ac:dyDescent="0.6">
      <c r="B8" s="2"/>
      <c r="C8" s="118">
        <v>5000</v>
      </c>
      <c r="D8" s="119">
        <f>IF(C8="","",IF(C8&lt;250,"320 (prix seuil)",IF(C8&gt;150000,"CONTACT SSEF",ROUNDUP((1.1*V6),-1))))</f>
        <v>810</v>
      </c>
      <c r="E8" s="100"/>
      <c r="F8" s="12">
        <f>IF(C8="","",(C8*$O$9)+$F$41+($R$13*$C$42*H8*24))</f>
        <v>491.99624166666661</v>
      </c>
      <c r="H8" s="13">
        <f t="shared" ref="H8:H17" si="0">C8/$O$6/24</f>
        <v>0.10416666666666667</v>
      </c>
      <c r="I8" s="14"/>
      <c r="N8" s="15" t="s">
        <v>9</v>
      </c>
      <c r="O8" s="16">
        <f>O14/O15/Q9</f>
        <v>156.13183000000001</v>
      </c>
      <c r="Q8" s="31">
        <v>4</v>
      </c>
      <c r="R8" s="9" t="s">
        <v>10</v>
      </c>
      <c r="T8" s="8" t="s">
        <v>11</v>
      </c>
      <c r="U8" s="17">
        <v>1.232</v>
      </c>
    </row>
    <row r="9" spans="1:22" ht="18" hidden="1" x14ac:dyDescent="0.6">
      <c r="B9" s="19" t="s">
        <v>12</v>
      </c>
      <c r="C9" s="107"/>
      <c r="D9" s="96" t="str">
        <f>IF(C9="","",ROUNDUP(($V$6/(SUM($C$8:$C$17))*C9),-1))</f>
        <v/>
      </c>
      <c r="E9" s="101"/>
      <c r="F9" s="12" t="str">
        <f t="shared" ref="F9:F17" si="1">IF(C9="","",(C9*$O$9)+$F$41+($R$13*$C$42*H9*24))</f>
        <v/>
      </c>
      <c r="H9" s="13">
        <f t="shared" si="0"/>
        <v>0</v>
      </c>
      <c r="N9" s="19" t="s">
        <v>14</v>
      </c>
      <c r="O9" s="20">
        <f>O8/O6</f>
        <v>7.8065915E-2</v>
      </c>
      <c r="Q9" s="21">
        <f>Q6*Q8</f>
        <v>800</v>
      </c>
      <c r="R9" s="22" t="s">
        <v>15</v>
      </c>
      <c r="T9" s="8" t="s">
        <v>8</v>
      </c>
      <c r="U9" s="23">
        <f>U6*$U$8</f>
        <v>18480</v>
      </c>
    </row>
    <row r="10" spans="1:22" ht="18" hidden="1" x14ac:dyDescent="0.6">
      <c r="B10" s="75" t="s">
        <v>16</v>
      </c>
      <c r="C10" s="107"/>
      <c r="D10" s="96" t="str">
        <f>IF(C10="","",ROUNDUP(($V$6/(SUM($C$8:$C$17))*C10),-1))</f>
        <v/>
      </c>
      <c r="E10" s="101"/>
      <c r="F10" s="12" t="str">
        <f t="shared" si="1"/>
        <v/>
      </c>
      <c r="H10" s="13">
        <f t="shared" si="0"/>
        <v>0</v>
      </c>
      <c r="T10" s="25" t="s">
        <v>18</v>
      </c>
      <c r="U10" s="108">
        <v>1</v>
      </c>
    </row>
    <row r="11" spans="1:22" ht="18.350000000000001" hidden="1" thickBot="1" x14ac:dyDescent="0.65">
      <c r="B11" s="75" t="s">
        <v>19</v>
      </c>
      <c r="C11" s="107"/>
      <c r="D11" s="96" t="str">
        <f t="shared" ref="D11:D17" si="2">IF(C11="","",ROUNDUP(($V$6/(SUM($C$8:$C$17))*C11),-1))</f>
        <v/>
      </c>
      <c r="E11" s="101"/>
      <c r="F11" s="12" t="str">
        <f t="shared" si="1"/>
        <v/>
      </c>
      <c r="H11" s="13">
        <f t="shared" si="0"/>
        <v>0</v>
      </c>
      <c r="N11" s="125" t="s">
        <v>21</v>
      </c>
      <c r="O11" s="126"/>
      <c r="Q11" s="123" t="s">
        <v>22</v>
      </c>
      <c r="R11" s="124"/>
      <c r="T11" s="8" t="s">
        <v>23</v>
      </c>
      <c r="U11" s="23">
        <v>4000</v>
      </c>
    </row>
    <row r="12" spans="1:22" ht="18.350000000000001" hidden="1" thickTop="1" x14ac:dyDescent="0.6">
      <c r="B12" s="75" t="s">
        <v>24</v>
      </c>
      <c r="C12" s="107"/>
      <c r="D12" s="96" t="str">
        <f t="shared" si="2"/>
        <v/>
      </c>
      <c r="E12" s="101"/>
      <c r="F12" s="12" t="str">
        <f t="shared" si="1"/>
        <v/>
      </c>
      <c r="H12" s="13">
        <f t="shared" si="0"/>
        <v>0</v>
      </c>
      <c r="N12" s="8" t="s">
        <v>26</v>
      </c>
      <c r="O12" s="23">
        <v>80390.464000000007</v>
      </c>
      <c r="Q12" s="8" t="s">
        <v>27</v>
      </c>
      <c r="R12" s="27">
        <v>7.0000000000000007E-2</v>
      </c>
      <c r="T12" s="8" t="s">
        <v>28</v>
      </c>
      <c r="U12" s="17">
        <v>0.3</v>
      </c>
    </row>
    <row r="13" spans="1:22" ht="18" hidden="1" x14ac:dyDescent="0.6">
      <c r="B13" s="75" t="s">
        <v>29</v>
      </c>
      <c r="C13" s="107"/>
      <c r="D13" s="96" t="str">
        <f t="shared" si="2"/>
        <v/>
      </c>
      <c r="E13" s="101"/>
      <c r="F13" s="12" t="str">
        <f t="shared" si="1"/>
        <v/>
      </c>
      <c r="H13" s="13">
        <f t="shared" si="0"/>
        <v>0</v>
      </c>
      <c r="L13" s="28"/>
      <c r="N13" s="8" t="s">
        <v>30</v>
      </c>
      <c r="O13" s="29">
        <v>44515</v>
      </c>
      <c r="Q13" s="8" t="s">
        <v>31</v>
      </c>
      <c r="R13" s="30">
        <v>200</v>
      </c>
      <c r="T13" s="8" t="s">
        <v>32</v>
      </c>
      <c r="U13" s="17">
        <f>U72</f>
        <v>1056</v>
      </c>
    </row>
    <row r="14" spans="1:22" ht="18" hidden="1" x14ac:dyDescent="0.6">
      <c r="B14" s="75" t="s">
        <v>33</v>
      </c>
      <c r="C14" s="107"/>
      <c r="D14" s="96" t="str">
        <f t="shared" si="2"/>
        <v/>
      </c>
      <c r="E14" s="101"/>
      <c r="F14" s="12" t="str">
        <f t="shared" si="1"/>
        <v/>
      </c>
      <c r="H14" s="13">
        <f t="shared" si="0"/>
        <v>0</v>
      </c>
      <c r="N14" s="31"/>
      <c r="O14" s="23">
        <v>124905.46400000001</v>
      </c>
      <c r="Q14" s="19"/>
      <c r="R14" s="32"/>
      <c r="T14" s="19" t="s">
        <v>34</v>
      </c>
      <c r="U14" s="29">
        <f>(((U9/U10)+U11)/U13)+200*U12</f>
        <v>81.287878787878782</v>
      </c>
    </row>
    <row r="15" spans="1:22" ht="18" hidden="1" x14ac:dyDescent="0.6">
      <c r="B15" s="75" t="s">
        <v>35</v>
      </c>
      <c r="C15" s="107"/>
      <c r="D15" s="96" t="str">
        <f t="shared" si="2"/>
        <v/>
      </c>
      <c r="E15" s="101"/>
      <c r="F15" s="12" t="str">
        <f t="shared" si="1"/>
        <v/>
      </c>
      <c r="H15" s="13">
        <f t="shared" si="0"/>
        <v>0</v>
      </c>
      <c r="N15" s="33" t="s">
        <v>18</v>
      </c>
      <c r="O15" s="109">
        <v>1</v>
      </c>
    </row>
    <row r="16" spans="1:22" ht="18" hidden="1" x14ac:dyDescent="0.6">
      <c r="B16" s="75" t="s">
        <v>36</v>
      </c>
      <c r="C16" s="107"/>
      <c r="D16" s="96" t="str">
        <f t="shared" si="2"/>
        <v/>
      </c>
      <c r="E16" s="101"/>
      <c r="F16" s="12" t="str">
        <f t="shared" si="1"/>
        <v/>
      </c>
      <c r="G16" s="94" t="s">
        <v>37</v>
      </c>
      <c r="H16" s="13">
        <f t="shared" si="0"/>
        <v>0</v>
      </c>
      <c r="I16" s="34" t="s">
        <v>37</v>
      </c>
    </row>
    <row r="17" spans="2:9" ht="18" hidden="1" x14ac:dyDescent="0.6">
      <c r="B17" s="75" t="s">
        <v>38</v>
      </c>
      <c r="C17" s="107"/>
      <c r="D17" s="97" t="str">
        <f t="shared" si="2"/>
        <v/>
      </c>
      <c r="E17" s="101"/>
      <c r="F17" s="12" t="str">
        <f t="shared" si="1"/>
        <v/>
      </c>
      <c r="G17" s="35">
        <f>SUM(F8:F17)</f>
        <v>491.99624166666661</v>
      </c>
      <c r="H17" s="13">
        <f t="shared" si="0"/>
        <v>0</v>
      </c>
      <c r="I17" s="36">
        <f>SUM(H8:H17)</f>
        <v>0.10416666666666667</v>
      </c>
    </row>
    <row r="18" spans="2:9" ht="12.95" customHeight="1" x14ac:dyDescent="0.6">
      <c r="B18" s="2"/>
      <c r="C18" s="155" t="s">
        <v>95</v>
      </c>
      <c r="D18" s="156">
        <f>IF(C8=0,0,IF(C8&lt;250,"",D8/C8))</f>
        <v>0.16200000000000001</v>
      </c>
      <c r="E18" s="102"/>
      <c r="F18" s="12"/>
      <c r="G18" s="12"/>
      <c r="H18" s="69"/>
      <c r="I18" s="70"/>
    </row>
    <row r="19" spans="2:9" ht="24" hidden="1" customHeight="1" x14ac:dyDescent="0.55000000000000004">
      <c r="F19" s="12"/>
      <c r="G19" s="12"/>
      <c r="H19" s="69"/>
      <c r="I19" s="70"/>
    </row>
    <row r="20" spans="2:9" hidden="1" x14ac:dyDescent="0.55000000000000004">
      <c r="B20" s="77"/>
      <c r="C20" s="72" t="s">
        <v>94</v>
      </c>
      <c r="D20" s="7">
        <f>IF(SUM(D8:D17)=0,"",SUM(D8:D17))</f>
        <v>810</v>
      </c>
      <c r="E20" s="80"/>
      <c r="F20" s="12"/>
      <c r="G20" s="12"/>
      <c r="H20" s="69"/>
      <c r="I20" s="70"/>
    </row>
    <row r="21" spans="2:9" hidden="1" x14ac:dyDescent="0.55000000000000004">
      <c r="B21" s="78"/>
      <c r="F21" s="12"/>
      <c r="G21" s="12"/>
      <c r="H21" s="69"/>
      <c r="I21" s="70"/>
    </row>
    <row r="22" spans="2:9" ht="6.95" customHeight="1" x14ac:dyDescent="0.6">
      <c r="B22" s="122"/>
      <c r="C22" s="122"/>
      <c r="D22" s="122"/>
      <c r="E22" s="90"/>
      <c r="F22" s="12"/>
      <c r="G22" s="12"/>
      <c r="H22" s="69"/>
      <c r="I22" s="70"/>
    </row>
    <row r="23" spans="2:9" hidden="1" x14ac:dyDescent="0.55000000000000004">
      <c r="B23" s="78"/>
      <c r="C23" s="91"/>
      <c r="D23" s="92"/>
      <c r="E23" s="92"/>
      <c r="F23" s="12"/>
      <c r="G23" s="12"/>
      <c r="H23" s="69"/>
      <c r="I23" s="70"/>
    </row>
    <row r="24" spans="2:9" hidden="1" x14ac:dyDescent="0.55000000000000004">
      <c r="B24" s="78"/>
      <c r="C24" s="91"/>
      <c r="D24" s="92"/>
      <c r="E24" s="92"/>
      <c r="F24" s="12"/>
      <c r="G24" s="12"/>
      <c r="H24" s="69"/>
      <c r="I24" s="70"/>
    </row>
    <row r="25" spans="2:9" hidden="1" x14ac:dyDescent="0.55000000000000004">
      <c r="B25" s="75" t="s">
        <v>3</v>
      </c>
      <c r="C25" s="76">
        <f>COUNTA(C8:C17)</f>
        <v>1</v>
      </c>
      <c r="D25" s="71"/>
      <c r="E25" s="71"/>
      <c r="F25" s="12"/>
      <c r="G25" s="12"/>
      <c r="H25" s="69"/>
      <c r="I25" s="70"/>
    </row>
    <row r="26" spans="2:9" hidden="1" x14ac:dyDescent="0.55000000000000004">
      <c r="B26" s="2"/>
      <c r="C26" s="110"/>
      <c r="D26" s="71"/>
      <c r="E26" s="71"/>
      <c r="F26" s="12"/>
      <c r="G26" s="12"/>
      <c r="H26" s="69"/>
      <c r="I26" s="70"/>
    </row>
    <row r="27" spans="2:9" hidden="1" x14ac:dyDescent="0.55000000000000004">
      <c r="B27" s="73" t="s">
        <v>13</v>
      </c>
      <c r="C27" s="74">
        <f>C55</f>
        <v>0.16874999999999998</v>
      </c>
      <c r="D27" s="71"/>
      <c r="E27" s="71"/>
      <c r="F27" s="12"/>
      <c r="G27" s="12"/>
      <c r="H27" s="69"/>
      <c r="I27" s="70"/>
    </row>
    <row r="28" spans="2:9" hidden="1" x14ac:dyDescent="0.55000000000000004">
      <c r="B28" s="8" t="s">
        <v>17</v>
      </c>
      <c r="C28" s="24">
        <f>I17</f>
        <v>0.10416666666666667</v>
      </c>
      <c r="D28" s="71"/>
      <c r="E28" s="71"/>
      <c r="F28" s="12"/>
      <c r="G28" s="12"/>
      <c r="H28" s="69"/>
      <c r="I28" s="70"/>
    </row>
    <row r="29" spans="2:9" hidden="1" x14ac:dyDescent="0.55000000000000004">
      <c r="B29" s="8" t="s">
        <v>20</v>
      </c>
      <c r="C29" s="24">
        <f>C54</f>
        <v>4.4097222222222218E-2</v>
      </c>
      <c r="D29" s="71"/>
      <c r="E29" s="71"/>
      <c r="F29" s="12"/>
      <c r="G29" s="12"/>
      <c r="H29" s="69"/>
      <c r="I29" s="70"/>
    </row>
    <row r="30" spans="2:9" hidden="1" x14ac:dyDescent="0.55000000000000004">
      <c r="B30" s="19" t="s">
        <v>25</v>
      </c>
      <c r="C30" s="26">
        <f>C35</f>
        <v>2.7777777777777776E-2</v>
      </c>
      <c r="D30" s="71"/>
      <c r="E30" s="71"/>
      <c r="F30" s="12"/>
      <c r="G30" s="12"/>
      <c r="H30" s="69"/>
      <c r="I30" s="70"/>
    </row>
    <row r="31" spans="2:9" hidden="1" x14ac:dyDescent="0.55000000000000004">
      <c r="B31" s="2"/>
      <c r="C31" s="110"/>
      <c r="D31" s="71"/>
      <c r="E31" s="71"/>
      <c r="F31" s="12"/>
      <c r="G31" s="12"/>
      <c r="H31" s="69"/>
      <c r="I31" s="70"/>
    </row>
    <row r="32" spans="2:9" hidden="1" x14ac:dyDescent="0.55000000000000004">
      <c r="B32" s="37" t="s">
        <v>39</v>
      </c>
      <c r="C32" s="38">
        <v>1.0416666666666666E-2</v>
      </c>
      <c r="D32" s="39"/>
      <c r="E32" s="39"/>
      <c r="F32" s="40">
        <f>C32*24*$R$13</f>
        <v>50</v>
      </c>
      <c r="G32" s="41"/>
    </row>
    <row r="33" spans="2:8" hidden="1" x14ac:dyDescent="0.55000000000000004">
      <c r="B33" s="18" t="s">
        <v>40</v>
      </c>
      <c r="C33" s="38">
        <f>G33*$C$25</f>
        <v>3.472222222222222E-3</v>
      </c>
      <c r="D33" s="39"/>
      <c r="E33" s="39"/>
      <c r="F33" s="40">
        <f>C33*24*$R$13</f>
        <v>16.666666666666664</v>
      </c>
      <c r="G33" s="42">
        <v>3.472222222222222E-3</v>
      </c>
      <c r="H33" s="43"/>
    </row>
    <row r="34" spans="2:8" hidden="1" x14ac:dyDescent="0.55000000000000004">
      <c r="B34" s="37" t="s">
        <v>41</v>
      </c>
      <c r="C34" s="38">
        <v>1.3888888888888888E-2</v>
      </c>
      <c r="D34" s="39"/>
      <c r="E34" s="39"/>
      <c r="F34" s="40">
        <f>C34*24*$R$13</f>
        <v>66.666666666666657</v>
      </c>
      <c r="G34" s="2"/>
    </row>
    <row r="35" spans="2:8" hidden="1" x14ac:dyDescent="0.55000000000000004">
      <c r="B35" s="37" t="s">
        <v>42</v>
      </c>
      <c r="C35" s="38">
        <f>SUM(C32:C34)</f>
        <v>2.7777777777777776E-2</v>
      </c>
      <c r="D35" s="39"/>
      <c r="E35" s="39"/>
      <c r="F35" s="44">
        <f>C35*24*$R$13</f>
        <v>133.33333333333331</v>
      </c>
      <c r="G35" s="2"/>
      <c r="H35" s="45" t="s">
        <v>43</v>
      </c>
    </row>
    <row r="36" spans="2:8" hidden="1" x14ac:dyDescent="0.55000000000000004">
      <c r="B36" s="37" t="s">
        <v>44</v>
      </c>
      <c r="C36" s="46">
        <f>H8+H9+H10+H11+H12+H13+H14+H15+H16+H17</f>
        <v>0.10416666666666667</v>
      </c>
      <c r="D36" s="47"/>
      <c r="E36" s="47"/>
      <c r="H36" s="35">
        <f>$O$8*C36*24</f>
        <v>390.32957499999998</v>
      </c>
    </row>
    <row r="37" spans="2:8" hidden="1" x14ac:dyDescent="0.55000000000000004">
      <c r="B37" s="37" t="s">
        <v>45</v>
      </c>
      <c r="C37" s="38">
        <f>G37*$C$25</f>
        <v>3.472222222222222E-3</v>
      </c>
      <c r="D37" s="14"/>
      <c r="E37" s="14"/>
      <c r="G37" s="42">
        <v>3.472222222222222E-3</v>
      </c>
    </row>
    <row r="38" spans="2:8" hidden="1" x14ac:dyDescent="0.55000000000000004">
      <c r="B38" s="37" t="s">
        <v>46</v>
      </c>
      <c r="C38" s="38">
        <f>G38*$C$25</f>
        <v>2.0833333333333333E-3</v>
      </c>
      <c r="D38" s="14"/>
      <c r="E38" s="14"/>
      <c r="G38" s="42">
        <v>2.0833333333333333E-3</v>
      </c>
    </row>
    <row r="39" spans="2:8" hidden="1" x14ac:dyDescent="0.55000000000000004">
      <c r="B39" s="37" t="s">
        <v>47</v>
      </c>
      <c r="C39" s="38">
        <f>G39*C40</f>
        <v>1.3888888888888888E-2</v>
      </c>
      <c r="D39" s="14"/>
      <c r="E39" s="14"/>
      <c r="F39" s="12">
        <f>U14</f>
        <v>81.287878787878782</v>
      </c>
      <c r="G39" s="42">
        <v>1.3888888888888888E-2</v>
      </c>
      <c r="H39" s="43"/>
    </row>
    <row r="40" spans="2:8" hidden="1" x14ac:dyDescent="0.55000000000000004">
      <c r="B40" s="18" t="s">
        <v>48</v>
      </c>
      <c r="C40" s="48">
        <f>ROUNDUP(C67/3,0)</f>
        <v>1</v>
      </c>
      <c r="D40" s="5"/>
      <c r="E40" s="5"/>
      <c r="F40" s="12">
        <f>F39*C40</f>
        <v>81.287878787878782</v>
      </c>
      <c r="G40" s="2"/>
      <c r="H40" s="43"/>
    </row>
    <row r="41" spans="2:8" hidden="1" x14ac:dyDescent="0.55000000000000004">
      <c r="B41" s="49" t="s">
        <v>49</v>
      </c>
      <c r="C41" s="50">
        <f>SUM(G43:G52)</f>
        <v>1.3888888888888888E-2</v>
      </c>
      <c r="D41" s="14"/>
      <c r="E41" s="14"/>
      <c r="F41" s="12">
        <f>$R$13*C41*24</f>
        <v>66.666666666666657</v>
      </c>
      <c r="G41" s="42"/>
    </row>
    <row r="42" spans="2:8" hidden="1" x14ac:dyDescent="0.55000000000000004">
      <c r="B42" s="18" t="s">
        <v>50</v>
      </c>
      <c r="C42" s="51">
        <f>R12</f>
        <v>7.0000000000000007E-2</v>
      </c>
      <c r="D42" s="1"/>
      <c r="E42" s="1"/>
      <c r="F42" s="28">
        <f>I17*C42</f>
        <v>7.2916666666666676E-3</v>
      </c>
      <c r="G42" s="2"/>
    </row>
    <row r="43" spans="2:8" ht="15.95" hidden="1" customHeight="1" x14ac:dyDescent="0.55000000000000004">
      <c r="B43" s="18" t="s">
        <v>51</v>
      </c>
      <c r="C43" s="52">
        <f t="shared" ref="C43:C52" si="3">ROUNDUP(C8/3000,0)</f>
        <v>2</v>
      </c>
      <c r="F43" s="28">
        <v>6.9444444444444441E-3</v>
      </c>
      <c r="G43" s="28">
        <f>C43*F43</f>
        <v>1.3888888888888888E-2</v>
      </c>
    </row>
    <row r="44" spans="2:8" ht="15.95" hidden="1" customHeight="1" x14ac:dyDescent="0.55000000000000004">
      <c r="B44" s="18" t="s">
        <v>52</v>
      </c>
      <c r="C44" s="52">
        <f t="shared" si="3"/>
        <v>0</v>
      </c>
      <c r="F44" s="28">
        <v>6.9444444444444441E-3</v>
      </c>
      <c r="G44" s="28">
        <f t="shared" ref="G44:G52" si="4">C44*F44</f>
        <v>0</v>
      </c>
    </row>
    <row r="45" spans="2:8" hidden="1" x14ac:dyDescent="0.55000000000000004">
      <c r="B45" s="18" t="s">
        <v>53</v>
      </c>
      <c r="C45" s="52">
        <f t="shared" si="3"/>
        <v>0</v>
      </c>
      <c r="F45" s="28">
        <v>6.9444444444444441E-3</v>
      </c>
      <c r="G45" s="28">
        <f t="shared" si="4"/>
        <v>0</v>
      </c>
    </row>
    <row r="46" spans="2:8" hidden="1" x14ac:dyDescent="0.55000000000000004">
      <c r="B46" s="18" t="s">
        <v>54</v>
      </c>
      <c r="C46" s="52">
        <f t="shared" si="3"/>
        <v>0</v>
      </c>
      <c r="F46" s="28">
        <v>6.9444444444444441E-3</v>
      </c>
      <c r="G46" s="28">
        <f t="shared" si="4"/>
        <v>0</v>
      </c>
    </row>
    <row r="47" spans="2:8" hidden="1" x14ac:dyDescent="0.55000000000000004">
      <c r="B47" s="18" t="s">
        <v>55</v>
      </c>
      <c r="C47" s="52">
        <f t="shared" si="3"/>
        <v>0</v>
      </c>
      <c r="F47" s="28">
        <v>6.9444444444444441E-3</v>
      </c>
      <c r="G47" s="28">
        <f t="shared" si="4"/>
        <v>0</v>
      </c>
    </row>
    <row r="48" spans="2:8" hidden="1" x14ac:dyDescent="0.55000000000000004">
      <c r="B48" s="18" t="s">
        <v>56</v>
      </c>
      <c r="C48" s="52">
        <f t="shared" si="3"/>
        <v>0</v>
      </c>
      <c r="F48" s="28">
        <v>6.9444444444444441E-3</v>
      </c>
      <c r="G48" s="28">
        <f t="shared" si="4"/>
        <v>0</v>
      </c>
    </row>
    <row r="49" spans="2:22" hidden="1" x14ac:dyDescent="0.55000000000000004">
      <c r="B49" s="18" t="s">
        <v>57</v>
      </c>
      <c r="C49" s="52">
        <f t="shared" si="3"/>
        <v>0</v>
      </c>
      <c r="F49" s="28">
        <v>6.9444444444444441E-3</v>
      </c>
      <c r="G49" s="28">
        <f t="shared" si="4"/>
        <v>0</v>
      </c>
    </row>
    <row r="50" spans="2:22" hidden="1" x14ac:dyDescent="0.55000000000000004">
      <c r="B50" s="37" t="s">
        <v>58</v>
      </c>
      <c r="C50" s="52">
        <f t="shared" si="3"/>
        <v>0</v>
      </c>
      <c r="F50" s="28">
        <v>6.9444444444444441E-3</v>
      </c>
      <c r="G50" s="28">
        <f t="shared" si="4"/>
        <v>0</v>
      </c>
    </row>
    <row r="51" spans="2:22" hidden="1" x14ac:dyDescent="0.55000000000000004">
      <c r="B51" s="37" t="s">
        <v>59</v>
      </c>
      <c r="C51" s="52">
        <f t="shared" si="3"/>
        <v>0</v>
      </c>
      <c r="F51" s="28">
        <v>6.9444444444444441E-3</v>
      </c>
      <c r="G51" s="28">
        <f t="shared" si="4"/>
        <v>0</v>
      </c>
    </row>
    <row r="52" spans="2:22" hidden="1" x14ac:dyDescent="0.55000000000000004">
      <c r="B52" s="37" t="s">
        <v>60</v>
      </c>
      <c r="C52" s="52">
        <f t="shared" si="3"/>
        <v>0</v>
      </c>
      <c r="F52" s="28">
        <v>6.9444444444444441E-3</v>
      </c>
      <c r="G52" s="28">
        <f t="shared" si="4"/>
        <v>0</v>
      </c>
    </row>
    <row r="53" spans="2:22" hidden="1" x14ac:dyDescent="0.55000000000000004">
      <c r="B53" s="18" t="s">
        <v>61</v>
      </c>
      <c r="C53" s="38">
        <f>H54*C25</f>
        <v>3.472222222222222E-3</v>
      </c>
      <c r="D53" s="14"/>
      <c r="E53" s="14"/>
    </row>
    <row r="54" spans="2:22" hidden="1" x14ac:dyDescent="0.55000000000000004">
      <c r="B54" s="37" t="s">
        <v>62</v>
      </c>
      <c r="C54" s="38">
        <f>(C42*C36)+C37+C38+C39+C41+C53</f>
        <v>4.4097222222222218E-2</v>
      </c>
      <c r="D54" s="14"/>
      <c r="E54" s="14"/>
      <c r="F54" s="12">
        <f>C25*G54</f>
        <v>16.666666666666664</v>
      </c>
      <c r="G54" s="4">
        <f>H54*R13*24</f>
        <v>16.666666666666664</v>
      </c>
      <c r="H54" s="43">
        <v>3.472222222222222E-3</v>
      </c>
    </row>
    <row r="55" spans="2:22" hidden="1" x14ac:dyDescent="0.55000000000000004">
      <c r="B55" s="53" t="s">
        <v>63</v>
      </c>
      <c r="C55" s="54">
        <f>C35+C37+C39+C41+C36+C38+C53</f>
        <v>0.16874999999999998</v>
      </c>
      <c r="D55" s="55"/>
      <c r="E55" s="55"/>
    </row>
    <row r="56" spans="2:22" hidden="1" x14ac:dyDescent="0.55000000000000004">
      <c r="B56" s="37" t="s">
        <v>64</v>
      </c>
      <c r="C56" s="52" t="s">
        <v>65</v>
      </c>
      <c r="F56" s="67"/>
      <c r="G56" s="2"/>
      <c r="H56" s="43"/>
    </row>
    <row r="57" spans="2:22" hidden="1" x14ac:dyDescent="0.55000000000000004">
      <c r="B57" s="18" t="s">
        <v>66</v>
      </c>
      <c r="C57" s="52">
        <f>ROUNDUP(C8/$G$57,0)</f>
        <v>1</v>
      </c>
      <c r="F57" s="67" t="s">
        <v>97</v>
      </c>
      <c r="G57" s="81">
        <v>5000</v>
      </c>
      <c r="H57" s="43"/>
      <c r="V57" s="3"/>
    </row>
    <row r="58" spans="2:22" hidden="1" x14ac:dyDescent="0.55000000000000004">
      <c r="B58" s="18" t="s">
        <v>67</v>
      </c>
      <c r="C58" s="52">
        <f t="shared" ref="C58:C66" si="5">ROUNDUP(C9/3000,0)</f>
        <v>0</v>
      </c>
      <c r="F58" s="67"/>
      <c r="G58" s="43"/>
      <c r="H58" s="43"/>
    </row>
    <row r="59" spans="2:22" hidden="1" x14ac:dyDescent="0.55000000000000004">
      <c r="B59" s="18" t="s">
        <v>68</v>
      </c>
      <c r="C59" s="52">
        <f t="shared" si="5"/>
        <v>0</v>
      </c>
      <c r="F59" s="67"/>
      <c r="G59" s="43"/>
      <c r="H59" s="43"/>
    </row>
    <row r="60" spans="2:22" hidden="1" x14ac:dyDescent="0.55000000000000004">
      <c r="B60" s="18" t="s">
        <v>69</v>
      </c>
      <c r="C60" s="52">
        <f t="shared" si="5"/>
        <v>0</v>
      </c>
      <c r="F60" s="67"/>
      <c r="G60" s="43"/>
      <c r="H60" s="43"/>
    </row>
    <row r="61" spans="2:22" hidden="1" x14ac:dyDescent="0.55000000000000004">
      <c r="B61" s="18" t="s">
        <v>70</v>
      </c>
      <c r="C61" s="52">
        <f t="shared" si="5"/>
        <v>0</v>
      </c>
      <c r="F61" s="67"/>
      <c r="G61" s="43"/>
      <c r="H61" s="43"/>
    </row>
    <row r="62" spans="2:22" hidden="1" x14ac:dyDescent="0.55000000000000004">
      <c r="B62" s="18" t="s">
        <v>71</v>
      </c>
      <c r="C62" s="52">
        <f t="shared" si="5"/>
        <v>0</v>
      </c>
      <c r="F62" s="67"/>
      <c r="G62" s="43"/>
      <c r="H62" s="43"/>
    </row>
    <row r="63" spans="2:22" ht="16" hidden="1" thickBot="1" x14ac:dyDescent="0.6">
      <c r="B63" s="18" t="s">
        <v>72</v>
      </c>
      <c r="C63" s="52">
        <f t="shared" si="5"/>
        <v>0</v>
      </c>
      <c r="F63" s="67"/>
      <c r="G63" s="43"/>
      <c r="H63" s="43"/>
      <c r="N63" s="129" t="s">
        <v>73</v>
      </c>
      <c r="O63" s="130"/>
    </row>
    <row r="64" spans="2:22" ht="16" hidden="1" thickTop="1" x14ac:dyDescent="0.55000000000000004">
      <c r="B64" s="18" t="s">
        <v>74</v>
      </c>
      <c r="C64" s="52">
        <f t="shared" si="5"/>
        <v>0</v>
      </c>
      <c r="F64" s="67"/>
      <c r="G64" s="43"/>
      <c r="H64" s="43"/>
      <c r="N64" s="56">
        <v>24</v>
      </c>
      <c r="O64" s="56" t="s">
        <v>75</v>
      </c>
    </row>
    <row r="65" spans="2:21" hidden="1" x14ac:dyDescent="0.55000000000000004">
      <c r="B65" s="18" t="s">
        <v>76</v>
      </c>
      <c r="C65" s="52">
        <f t="shared" si="5"/>
        <v>0</v>
      </c>
      <c r="F65" s="67"/>
      <c r="G65" s="43"/>
      <c r="H65" s="43"/>
      <c r="N65" s="52">
        <f>24*60</f>
        <v>1440</v>
      </c>
      <c r="O65" s="52" t="s">
        <v>77</v>
      </c>
    </row>
    <row r="66" spans="2:21" hidden="1" x14ac:dyDescent="0.55000000000000004">
      <c r="B66" s="18" t="s">
        <v>78</v>
      </c>
      <c r="C66" s="52">
        <f t="shared" si="5"/>
        <v>0</v>
      </c>
      <c r="F66" s="67"/>
      <c r="G66" s="43"/>
      <c r="H66" s="43"/>
      <c r="N66" s="52">
        <f>1440*60</f>
        <v>86400</v>
      </c>
      <c r="O66" s="52" t="s">
        <v>79</v>
      </c>
    </row>
    <row r="67" spans="2:21" hidden="1" x14ac:dyDescent="0.55000000000000004">
      <c r="B67" s="18" t="s">
        <v>80</v>
      </c>
      <c r="C67" s="52">
        <f>SUM(C57:C66)</f>
        <v>1</v>
      </c>
      <c r="F67" s="67"/>
      <c r="G67" s="43"/>
      <c r="H67" s="57"/>
    </row>
    <row r="68" spans="2:21" ht="16" hidden="1" thickBot="1" x14ac:dyDescent="0.6">
      <c r="B68" s="2"/>
    </row>
    <row r="69" spans="2:21" hidden="1" x14ac:dyDescent="0.55000000000000004">
      <c r="N69" s="131" t="s">
        <v>81</v>
      </c>
      <c r="O69" s="132"/>
      <c r="P69" s="132"/>
      <c r="Q69" s="132"/>
      <c r="R69" s="132"/>
      <c r="S69" s="132"/>
      <c r="T69" s="132"/>
      <c r="U69" s="133"/>
    </row>
    <row r="70" spans="2:21" ht="16" hidden="1" thickBot="1" x14ac:dyDescent="0.6">
      <c r="N70" s="134" t="s">
        <v>82</v>
      </c>
      <c r="O70" s="135"/>
      <c r="P70" s="135"/>
      <c r="Q70" s="136"/>
      <c r="T70" s="137" t="s">
        <v>83</v>
      </c>
      <c r="U70" s="138"/>
    </row>
    <row r="71" spans="2:21" ht="15.6" customHeight="1" x14ac:dyDescent="0.55000000000000004">
      <c r="C71" s="141" t="s">
        <v>107</v>
      </c>
      <c r="D71" s="141"/>
      <c r="E71" s="116"/>
      <c r="N71" s="111"/>
      <c r="O71" s="112"/>
      <c r="P71" s="112"/>
      <c r="Q71" s="113"/>
      <c r="T71" s="114"/>
      <c r="U71" s="115"/>
    </row>
    <row r="72" spans="2:21" x14ac:dyDescent="0.55000000000000004">
      <c r="B72" s="116"/>
      <c r="C72" s="141"/>
      <c r="D72" s="141"/>
      <c r="E72" s="116"/>
      <c r="N72" s="58"/>
      <c r="O72" s="89" t="s">
        <v>84</v>
      </c>
      <c r="P72" s="139" t="s">
        <v>85</v>
      </c>
      <c r="Q72" s="139"/>
      <c r="T72" s="11" t="s">
        <v>86</v>
      </c>
      <c r="U72" s="59">
        <f>11*U75</f>
        <v>1056</v>
      </c>
    </row>
    <row r="73" spans="2:21" ht="6.95" customHeight="1" x14ac:dyDescent="0.55000000000000004">
      <c r="B73" s="116"/>
      <c r="C73" s="117"/>
      <c r="D73" s="117"/>
      <c r="E73" s="116"/>
      <c r="N73" s="58"/>
      <c r="O73" s="89"/>
      <c r="P73" s="89"/>
      <c r="Q73" s="89"/>
      <c r="T73" s="11"/>
      <c r="U73" s="59"/>
    </row>
    <row r="74" spans="2:21" x14ac:dyDescent="0.55000000000000004">
      <c r="C74" s="127" t="s">
        <v>110</v>
      </c>
      <c r="D74" s="127"/>
      <c r="N74" s="58"/>
      <c r="O74" s="89"/>
      <c r="P74" s="89"/>
      <c r="Q74" s="89"/>
      <c r="T74" s="11"/>
      <c r="U74" s="59"/>
    </row>
    <row r="75" spans="2:21" x14ac:dyDescent="0.55000000000000004">
      <c r="C75" s="104"/>
      <c r="N75" s="60" t="s">
        <v>87</v>
      </c>
      <c r="O75" s="61">
        <f>11*O76</f>
        <v>2112000</v>
      </c>
      <c r="P75" s="140">
        <f>11*P76</f>
        <v>3520000</v>
      </c>
      <c r="Q75" s="140"/>
      <c r="T75" s="18" t="s">
        <v>88</v>
      </c>
      <c r="U75" s="62">
        <f>4*U76</f>
        <v>96</v>
      </c>
    </row>
    <row r="76" spans="2:21" x14ac:dyDescent="0.55000000000000004">
      <c r="C76" s="105"/>
      <c r="N76" s="60" t="s">
        <v>89</v>
      </c>
      <c r="O76" s="61">
        <f>4*O77</f>
        <v>192000</v>
      </c>
      <c r="P76" s="140">
        <f>4*P77</f>
        <v>320000</v>
      </c>
      <c r="Q76" s="140"/>
      <c r="T76" s="37" t="s">
        <v>90</v>
      </c>
      <c r="U76" s="62">
        <f>4*U77</f>
        <v>24</v>
      </c>
    </row>
    <row r="77" spans="2:21" x14ac:dyDescent="0.55000000000000004">
      <c r="C77" s="104"/>
      <c r="N77" s="60" t="s">
        <v>91</v>
      </c>
      <c r="O77" s="61">
        <f>4*O78</f>
        <v>48000</v>
      </c>
      <c r="P77" s="140">
        <f>4*P78</f>
        <v>80000</v>
      </c>
      <c r="Q77" s="140"/>
      <c r="T77" s="37" t="s">
        <v>92</v>
      </c>
      <c r="U77" s="62">
        <v>6</v>
      </c>
    </row>
    <row r="78" spans="2:21" ht="16" thickBot="1" x14ac:dyDescent="0.6">
      <c r="N78" s="63" t="s">
        <v>93</v>
      </c>
      <c r="O78" s="64">
        <f>O6*6</f>
        <v>12000</v>
      </c>
      <c r="P78" s="128">
        <f>O6*10</f>
        <v>20000</v>
      </c>
      <c r="Q78" s="128"/>
      <c r="R78" s="65"/>
      <c r="S78" s="65"/>
      <c r="T78" s="65"/>
      <c r="U78" s="66"/>
    </row>
    <row r="92" spans="6:6" x14ac:dyDescent="0.55000000000000004">
      <c r="F92" s="67"/>
    </row>
    <row r="93" spans="6:6" x14ac:dyDescent="0.55000000000000004">
      <c r="F93" s="5"/>
    </row>
    <row r="94" spans="6:6" x14ac:dyDescent="0.55000000000000004">
      <c r="F94" s="5"/>
    </row>
    <row r="95" spans="6:6" x14ac:dyDescent="0.55000000000000004">
      <c r="F95" s="5"/>
    </row>
    <row r="96" spans="6:6" x14ac:dyDescent="0.55000000000000004">
      <c r="F96" s="5"/>
    </row>
    <row r="119" spans="2:5" x14ac:dyDescent="0.55000000000000004">
      <c r="C119" s="43"/>
      <c r="D119" s="43"/>
      <c r="E119" s="43"/>
    </row>
    <row r="120" spans="2:5" x14ac:dyDescent="0.55000000000000004">
      <c r="C120" s="43"/>
      <c r="D120" s="43"/>
      <c r="E120" s="43"/>
    </row>
    <row r="121" spans="2:5" x14ac:dyDescent="0.55000000000000004">
      <c r="C121" s="43"/>
      <c r="D121" s="43"/>
      <c r="E121" s="43"/>
    </row>
    <row r="122" spans="2:5" x14ac:dyDescent="0.55000000000000004">
      <c r="C122" s="43"/>
      <c r="D122" s="43"/>
      <c r="E122" s="43"/>
    </row>
    <row r="125" spans="2:5" x14ac:dyDescent="0.55000000000000004">
      <c r="C125" s="43"/>
      <c r="D125" s="43"/>
      <c r="E125" s="43"/>
    </row>
    <row r="126" spans="2:5" x14ac:dyDescent="0.55000000000000004">
      <c r="C126" s="43"/>
      <c r="D126" s="43"/>
      <c r="E126" s="43"/>
    </row>
    <row r="127" spans="2:5" x14ac:dyDescent="0.55000000000000004">
      <c r="B127" s="2"/>
      <c r="C127" s="42"/>
      <c r="D127" s="42"/>
      <c r="E127" s="42"/>
    </row>
    <row r="130" spans="2:5" x14ac:dyDescent="0.55000000000000004">
      <c r="C130" s="43"/>
      <c r="D130" s="43"/>
      <c r="E130" s="43"/>
    </row>
    <row r="131" spans="2:5" x14ac:dyDescent="0.55000000000000004">
      <c r="C131" s="43"/>
      <c r="D131" s="43"/>
      <c r="E131" s="43"/>
    </row>
    <row r="132" spans="2:5" x14ac:dyDescent="0.55000000000000004">
      <c r="C132" s="43"/>
      <c r="D132" s="43"/>
      <c r="E132" s="43"/>
    </row>
    <row r="133" spans="2:5" x14ac:dyDescent="0.55000000000000004">
      <c r="C133" s="43"/>
      <c r="D133" s="43"/>
      <c r="E133" s="43"/>
    </row>
    <row r="136" spans="2:5" x14ac:dyDescent="0.55000000000000004">
      <c r="C136" s="43"/>
      <c r="D136" s="43"/>
      <c r="E136" s="43"/>
    </row>
    <row r="137" spans="2:5" x14ac:dyDescent="0.55000000000000004">
      <c r="C137" s="43"/>
      <c r="D137" s="43"/>
      <c r="E137" s="43"/>
    </row>
    <row r="138" spans="2:5" x14ac:dyDescent="0.55000000000000004">
      <c r="B138" s="2"/>
      <c r="C138" s="57"/>
      <c r="D138" s="57"/>
      <c r="E138" s="57"/>
    </row>
    <row r="141" spans="2:5" x14ac:dyDescent="0.55000000000000004">
      <c r="B141" s="2"/>
      <c r="C141" s="4"/>
      <c r="D141" s="4"/>
      <c r="E141" s="4"/>
    </row>
    <row r="142" spans="2:5" x14ac:dyDescent="0.55000000000000004">
      <c r="B142" s="2"/>
      <c r="C142" s="4"/>
      <c r="D142" s="4"/>
      <c r="E142" s="4"/>
    </row>
    <row r="145" spans="2:5" x14ac:dyDescent="0.55000000000000004">
      <c r="C145" s="43"/>
      <c r="D145" s="43"/>
      <c r="E145" s="43"/>
    </row>
    <row r="153" spans="2:5" x14ac:dyDescent="0.55000000000000004">
      <c r="B153" s="2"/>
    </row>
    <row r="157" spans="2:5" x14ac:dyDescent="0.55000000000000004">
      <c r="B157" s="2"/>
      <c r="C157" s="68"/>
      <c r="D157" s="68"/>
      <c r="E157" s="68"/>
    </row>
    <row r="1520" spans="2:37" s="2" customFormat="1" x14ac:dyDescent="0.55000000000000004"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</row>
    <row r="1521" spans="2:37" s="2" customFormat="1" x14ac:dyDescent="0.55000000000000004"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</row>
  </sheetData>
  <sheetProtection selectLockedCells="1"/>
  <mergeCells count="20">
    <mergeCell ref="C74:D74"/>
    <mergeCell ref="P78:Q78"/>
    <mergeCell ref="N63:O63"/>
    <mergeCell ref="N69:U69"/>
    <mergeCell ref="N70:Q70"/>
    <mergeCell ref="T70:U70"/>
    <mergeCell ref="P72:Q72"/>
    <mergeCell ref="P75:Q75"/>
    <mergeCell ref="P76:Q76"/>
    <mergeCell ref="P77:Q77"/>
    <mergeCell ref="C71:D72"/>
    <mergeCell ref="B2:E2"/>
    <mergeCell ref="B4:E4"/>
    <mergeCell ref="B22:D22"/>
    <mergeCell ref="T5:U5"/>
    <mergeCell ref="N11:O11"/>
    <mergeCell ref="Q11:R11"/>
    <mergeCell ref="B6:C6"/>
    <mergeCell ref="N5:O5"/>
    <mergeCell ref="Q5:R5"/>
  </mergeCells>
  <dataValidations disablePrompts="1" xWindow="381" yWindow="351" count="1">
    <dataValidation type="whole" allowBlank="1" showInputMessage="1" showErrorMessage="1" errorTitle="Entrée refusée" error="La grandeur d'un lot est comprise entre 91 et 20'000 pierres." promptTitle="Entrée de grandeur" prompt="La grandeur d'un lot est comprise entre 91 et 20'000 pierres et le total de pierres par envoi n'exède pas 20'000 pierres." sqref="C31 C26" xr:uid="{00000000-0002-0000-0000-000000000000}">
      <formula1>91</formula1>
      <formula2>20000</formula2>
    </dataValidation>
  </dataValidations>
  <hyperlinks>
    <hyperlink ref="C74:D74" r:id="rId1" display="Cliquer ici pour voir nos conditions d'analyses" xr:uid="{00000000-0004-0000-0000-000000000000}"/>
  </hyperlinks>
  <pageMargins left="0.75" right="0.75" top="1" bottom="1" header="0.5" footer="0.5"/>
  <pageSetup paperSize="9"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B1:F14"/>
  <sheetViews>
    <sheetView showGridLines="0" showRowColHeaders="0" showZeros="0" workbookViewId="0">
      <selection activeCell="B6" sqref="B6"/>
    </sheetView>
  </sheetViews>
  <sheetFormatPr defaultColWidth="8.88671875" defaultRowHeight="15.7" x14ac:dyDescent="0.55000000000000004"/>
  <cols>
    <col min="2" max="2" width="8.88671875" bestFit="1" customWidth="1"/>
    <col min="3" max="4" width="8.609375" bestFit="1" customWidth="1"/>
    <col min="5" max="5" width="15.88671875" hidden="1" customWidth="1"/>
    <col min="6" max="6" width="9.88671875" bestFit="1" customWidth="1"/>
  </cols>
  <sheetData>
    <row r="1" spans="2:6" ht="16" thickBot="1" x14ac:dyDescent="0.6"/>
    <row r="2" spans="2:6" ht="15.75" customHeight="1" x14ac:dyDescent="0.55000000000000004">
      <c r="B2" s="142" t="s">
        <v>105</v>
      </c>
      <c r="C2" s="143"/>
      <c r="D2" s="143"/>
      <c r="E2" s="143"/>
      <c r="F2" s="144"/>
    </row>
    <row r="3" spans="2:6" ht="32.25" customHeight="1" x14ac:dyDescent="0.55000000000000004">
      <c r="B3" s="145"/>
      <c r="C3" s="146"/>
      <c r="D3" s="146"/>
      <c r="E3" s="146"/>
      <c r="F3" s="147"/>
    </row>
    <row r="4" spans="2:6" ht="6.75" customHeight="1" thickBot="1" x14ac:dyDescent="0.6">
      <c r="B4" s="148"/>
      <c r="C4" s="149"/>
      <c r="D4" s="149"/>
      <c r="E4" s="149"/>
      <c r="F4" s="150"/>
    </row>
    <row r="5" spans="2:6" ht="32.25" customHeight="1" thickTop="1" thickBot="1" x14ac:dyDescent="0.6">
      <c r="B5" s="82" t="s">
        <v>98</v>
      </c>
      <c r="C5" s="83" t="s">
        <v>99</v>
      </c>
      <c r="D5" s="83" t="s">
        <v>100</v>
      </c>
      <c r="E5" s="83" t="s">
        <v>96</v>
      </c>
      <c r="F5" s="84" t="s">
        <v>101</v>
      </c>
    </row>
    <row r="6" spans="2:6" ht="16.350000000000001" thickTop="1" thickBot="1" x14ac:dyDescent="0.6">
      <c r="B6" s="88">
        <v>2.7</v>
      </c>
      <c r="C6" s="87">
        <v>0.85</v>
      </c>
      <c r="D6" s="87">
        <v>0.9</v>
      </c>
      <c r="E6" s="85">
        <f>IF(AND(C6="",D6=""),"",IF(D6="",0.00615*C6*0.6*C6^2,IF(C6="",0.00615*D6*0.6*D6^2,0.00615*((C6+D6)/2)*0.6*C6*D6)))</f>
        <v>2.4699937499999998E-3</v>
      </c>
      <c r="F6" s="86">
        <f>IF(E6="","",IF(AND(OR(C6&lt;&gt;"",D6&lt;&gt;"")),ROUNDUP(B6/E6,0)))</f>
        <v>1094</v>
      </c>
    </row>
    <row r="7" spans="2:6" x14ac:dyDescent="0.55000000000000004">
      <c r="B7" s="79" t="str">
        <f>IF(OR(C6="",D6=""),"",IF(ABS(D6-C6)&gt;0.2,"L'ASDI n'accepte pas des variations de diamètres supérieures à 0,20 mm dans un même lot. La grande différence entre les deux diamètres peut induire une quantité fausse.",""))</f>
        <v/>
      </c>
    </row>
    <row r="8" spans="2:6" x14ac:dyDescent="0.55000000000000004">
      <c r="B8" s="79" t="str">
        <f>IF(AND(C6="",D6=""),"",IF(OR(AND(C6&lt;&gt;0,C6&lt;0.85),AND(C6&lt;&gt;0,C6&gt;3.8),AND(D6&lt;&gt;0,D6&lt;0.85),AND(D6&lt;&gt;0,D6&gt;3.8)),"L'ASDI n'accepte que des diamètres entre 0.85 et 3,8 mm",""))</f>
        <v/>
      </c>
    </row>
    <row r="9" spans="2:6" ht="16" thickBot="1" x14ac:dyDescent="0.6"/>
    <row r="10" spans="2:6" x14ac:dyDescent="0.55000000000000004">
      <c r="B10" s="142" t="s">
        <v>106</v>
      </c>
      <c r="C10" s="143"/>
      <c r="D10" s="143"/>
      <c r="E10" s="143"/>
      <c r="F10" s="144"/>
    </row>
    <row r="11" spans="2:6" x14ac:dyDescent="0.55000000000000004">
      <c r="B11" s="145"/>
      <c r="C11" s="146"/>
      <c r="D11" s="146"/>
      <c r="E11" s="146"/>
      <c r="F11" s="147"/>
    </row>
    <row r="12" spans="2:6" ht="16" thickBot="1" x14ac:dyDescent="0.6">
      <c r="B12" s="148"/>
      <c r="C12" s="149"/>
      <c r="D12" s="149"/>
      <c r="E12" s="149"/>
      <c r="F12" s="150"/>
    </row>
    <row r="13" spans="2:6" ht="26.7" thickTop="1" thickBot="1" x14ac:dyDescent="0.6">
      <c r="B13" s="82" t="s">
        <v>98</v>
      </c>
      <c r="C13" s="83" t="s">
        <v>99</v>
      </c>
      <c r="D13" s="83" t="s">
        <v>100</v>
      </c>
      <c r="E13" s="83" t="s">
        <v>96</v>
      </c>
      <c r="F13" s="84" t="s">
        <v>102</v>
      </c>
    </row>
    <row r="14" spans="2:6" ht="16.350000000000001" thickTop="1" thickBot="1" x14ac:dyDescent="0.6">
      <c r="B14" s="88">
        <v>15</v>
      </c>
      <c r="C14" s="87">
        <v>1.5</v>
      </c>
      <c r="D14" s="87">
        <v>1.55</v>
      </c>
      <c r="E14" s="85">
        <f>IF(AND(C14="",D14=""),"",IF(D14="",0.0065*C14*0.6*C14^2,IF(C14="",0.0065*D14*0.6*D14^2,0.0065*((C14+D14)/2)*0.6*C14*D14)))</f>
        <v>1.3827937499999998E-2</v>
      </c>
      <c r="F14" s="86">
        <f>IF(E14="","",IF(AND(OR(C14&lt;&gt;"",D14&lt;&gt;"")),ROUNDUP(B14/E14,0)))</f>
        <v>1085</v>
      </c>
    </row>
  </sheetData>
  <sheetProtection algorithmName="SHA-512" hashValue="y8zeA9FP8yo6Bc0Ve0+cpbOembejulMer8qxYRh733yXgjReG3HHC/5nvgB/ozxCbS4qwDolabpp0FkwhEu3FQ==" saltValue="oXj4dgduQusjjkV/1FT7Sw==" spinCount="100000" sheet="1" selectLockedCells="1"/>
  <mergeCells count="2">
    <mergeCell ref="B2:F4"/>
    <mergeCell ref="B10:F12"/>
  </mergeCells>
  <dataValidations count="1">
    <dataValidation type="whole" operator="greaterThan" allowBlank="1" showInputMessage="1" sqref="F6 F14" xr:uid="{00000000-0002-0000-0100-000000000000}">
      <formula1>20000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Tarif Naturalité</vt:lpstr>
      <vt:lpstr>Calcul Quantité</vt:lpstr>
    </vt:vector>
  </TitlesOfParts>
  <Company>SSEF Swiss Gemmological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 Chalain</dc:creator>
  <cp:lastModifiedBy>JPC</cp:lastModifiedBy>
  <dcterms:created xsi:type="dcterms:W3CDTF">2014-01-06T16:07:41Z</dcterms:created>
  <dcterms:modified xsi:type="dcterms:W3CDTF">2023-12-04T15:54:44Z</dcterms:modified>
</cp:coreProperties>
</file>